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4932\Documents\001 Assemblee Nationale\Commission des AE\Rapport programme 185\AEFE\"/>
    </mc:Choice>
  </mc:AlternateContent>
  <xr:revisionPtr revIDLastSave="0" documentId="13_ncr:1_{4A09F18B-939D-448D-84CB-44AC7595F40E}" xr6:coauthVersionLast="47" xr6:coauthVersionMax="47" xr10:uidLastSave="{00000000-0000-0000-0000-000000000000}"/>
  <bookViews>
    <workbookView xWindow="-120" yWindow="-120" windowWidth="29040" windowHeight="15720" activeTab="4" xr2:uid="{66020214-57AD-4D73-A4BC-4E307CB4E295}"/>
  </bookViews>
  <sheets>
    <sheet name="aujourd'hui" sheetId="1" r:id="rId1"/>
    <sheet name="éolution org. année 1, 5, et 10" sheetId="6" r:id="rId2"/>
    <sheet name="budg. analytique année 1" sheetId="2" r:id="rId3"/>
    <sheet name="budg analytique année 5" sheetId="3" r:id="rId4"/>
    <sheet name="budg analytique année 10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B14" i="6"/>
  <c r="C7" i="6"/>
  <c r="C8" i="6"/>
  <c r="C9" i="6"/>
  <c r="C10" i="6"/>
  <c r="C11" i="6"/>
  <c r="C12" i="6"/>
  <c r="C13" i="6"/>
  <c r="C14" i="6"/>
  <c r="C15" i="6"/>
  <c r="C16" i="6"/>
  <c r="C17" i="6"/>
  <c r="C19" i="6"/>
  <c r="C20" i="6"/>
  <c r="N13" i="2" l="1"/>
  <c r="G6" i="4" l="1"/>
  <c r="G8" i="4" s="1"/>
  <c r="E6" i="4"/>
  <c r="E8" i="4" s="1"/>
  <c r="N13" i="4"/>
  <c r="J13" i="4"/>
  <c r="O8" i="4"/>
  <c r="J8" i="4"/>
  <c r="I8" i="4"/>
  <c r="H8" i="4"/>
  <c r="C8" i="4"/>
  <c r="B8" i="4"/>
  <c r="N7" i="4"/>
  <c r="N6" i="4"/>
  <c r="N8" i="4" s="1"/>
  <c r="F6" i="4"/>
  <c r="F8" i="4" s="1"/>
  <c r="D6" i="4"/>
  <c r="D8" i="4" s="1"/>
  <c r="K4" i="4"/>
  <c r="G6" i="3"/>
  <c r="G8" i="3" s="1"/>
  <c r="F6" i="3"/>
  <c r="F8" i="3" s="1"/>
  <c r="D6" i="3"/>
  <c r="N13" i="3"/>
  <c r="J13" i="3"/>
  <c r="O8" i="3"/>
  <c r="J8" i="3"/>
  <c r="I8" i="3"/>
  <c r="H8" i="3"/>
  <c r="D8" i="3"/>
  <c r="C8" i="3"/>
  <c r="B8" i="3"/>
  <c r="N7" i="3"/>
  <c r="N6" i="3"/>
  <c r="K6" i="3"/>
  <c r="E8" i="3"/>
  <c r="K4" i="3"/>
  <c r="K7" i="4" l="1"/>
  <c r="L7" i="4" s="1"/>
  <c r="P7" i="4" s="1"/>
  <c r="Q7" i="4" s="1"/>
  <c r="K6" i="4"/>
  <c r="K8" i="4" s="1"/>
  <c r="L6" i="3"/>
  <c r="M6" i="3" s="1"/>
  <c r="N8" i="3"/>
  <c r="K7" i="3"/>
  <c r="L7" i="3" s="1"/>
  <c r="P7" i="3" s="1"/>
  <c r="Q7" i="3" s="1"/>
  <c r="I13" i="2"/>
  <c r="J13" i="2"/>
  <c r="N7" i="2"/>
  <c r="N6" i="2"/>
  <c r="H13" i="2"/>
  <c r="G6" i="2"/>
  <c r="G8" i="2" s="1"/>
  <c r="E6" i="2"/>
  <c r="E8" i="2" s="1"/>
  <c r="J8" i="2"/>
  <c r="I8" i="2"/>
  <c r="H8" i="2"/>
  <c r="F8" i="2"/>
  <c r="D8" i="2"/>
  <c r="C8" i="2"/>
  <c r="B8" i="2"/>
  <c r="K4" i="2"/>
  <c r="I13" i="3" l="1"/>
  <c r="L13" i="3" s="1"/>
  <c r="M13" i="3" s="1"/>
  <c r="I13" i="4"/>
  <c r="L13" i="4" s="1"/>
  <c r="M13" i="4" s="1"/>
  <c r="L13" i="2"/>
  <c r="M13" i="2" s="1"/>
  <c r="P6" i="3"/>
  <c r="Q6" i="3" s="1"/>
  <c r="Q8" i="3" s="1"/>
  <c r="M7" i="4"/>
  <c r="P13" i="4"/>
  <c r="Q13" i="4" s="1"/>
  <c r="P13" i="3"/>
  <c r="Q13" i="3" s="1"/>
  <c r="L6" i="4"/>
  <c r="K8" i="3"/>
  <c r="L8" i="3"/>
  <c r="M7" i="3"/>
  <c r="M8" i="3" s="1"/>
  <c r="N8" i="2"/>
  <c r="K6" i="2"/>
  <c r="K7" i="2"/>
  <c r="L7" i="2" s="1"/>
  <c r="P7" i="2" s="1"/>
  <c r="Q7" i="2" s="1"/>
  <c r="K4" i="1"/>
  <c r="P8" i="3" l="1"/>
  <c r="L8" i="4"/>
  <c r="M6" i="4"/>
  <c r="M8" i="4" s="1"/>
  <c r="P6" i="4"/>
  <c r="K8" i="2"/>
  <c r="L6" i="2"/>
  <c r="L8" i="2" s="1"/>
  <c r="M7" i="2"/>
  <c r="O8" i="1"/>
  <c r="O7" i="1"/>
  <c r="O6" i="1"/>
  <c r="P8" i="4" l="1"/>
  <c r="Q6" i="4"/>
  <c r="Q8" i="4" s="1"/>
  <c r="M6" i="2"/>
  <c r="M8" i="2" s="1"/>
  <c r="O8" i="2"/>
  <c r="P6" i="2"/>
  <c r="P8" i="2" s="1"/>
  <c r="N9" i="1"/>
  <c r="C9" i="1"/>
  <c r="D9" i="1"/>
  <c r="E9" i="1"/>
  <c r="F9" i="1"/>
  <c r="G9" i="1"/>
  <c r="H9" i="1"/>
  <c r="I9" i="1"/>
  <c r="J9" i="1"/>
  <c r="B9" i="1"/>
  <c r="Q6" i="2" l="1"/>
  <c r="Q8" i="2" s="1"/>
  <c r="K8" i="1"/>
  <c r="K7" i="1"/>
  <c r="K6" i="1"/>
  <c r="J12" i="1" s="1"/>
  <c r="O9" i="1"/>
  <c r="L7" i="1" l="1"/>
  <c r="L8" i="1"/>
  <c r="L6" i="1"/>
  <c r="M6" i="1" s="1"/>
  <c r="K9" i="1"/>
  <c r="P8" i="1" l="1"/>
  <c r="Q8" i="1" s="1"/>
  <c r="M8" i="1"/>
  <c r="P7" i="1"/>
  <c r="Q7" i="1" s="1"/>
  <c r="M7" i="1"/>
  <c r="L9" i="1"/>
  <c r="M9" i="1" s="1"/>
  <c r="P6" i="1"/>
  <c r="Q6" i="1" s="1"/>
  <c r="P9" i="1" l="1"/>
  <c r="Q9" i="1" s="1"/>
  <c r="P13" i="2"/>
  <c r="Q13" i="2" s="1"/>
</calcChain>
</file>

<file path=xl/sharedStrings.xml><?xml version="1.0" encoding="utf-8"?>
<sst xmlns="http://schemas.openxmlformats.org/spreadsheetml/2006/main" count="194" uniqueCount="49">
  <si>
    <t>masse salariale</t>
  </si>
  <si>
    <t>nbre</t>
  </si>
  <si>
    <t>nbr</t>
  </si>
  <si>
    <t>Cadres AEFE détachés</t>
  </si>
  <si>
    <t>Enseignants AEFE détachés</t>
  </si>
  <si>
    <t>Enseignants locaux</t>
  </si>
  <si>
    <t>Charges hors personnel</t>
  </si>
  <si>
    <t>nbre d'élèves</t>
  </si>
  <si>
    <t>EGD -&gt; gestionnaire de l'établissement</t>
  </si>
  <si>
    <t>Partenaires -&gt; animation et développement du réseau</t>
  </si>
  <si>
    <t>totaux réseau pour ordres de grandeur</t>
  </si>
  <si>
    <t>Types d'établissement -&gt; 'métier' de l'agence</t>
  </si>
  <si>
    <t>Conventionnés -&gt; prestataire de ressources humaines</t>
  </si>
  <si>
    <t>redevances directes (écolages) ou indirectes (PRR, PFC...)</t>
  </si>
  <si>
    <t>Charges de l'Agence directes</t>
  </si>
  <si>
    <t>charges indirectes à répartir</t>
  </si>
  <si>
    <t>Subvention, autres recettes nécessaire, ou déficit</t>
  </si>
  <si>
    <t>ensemble</t>
  </si>
  <si>
    <t>par élève</t>
  </si>
  <si>
    <t>Total des charges de l'agence directes et à répartir</t>
  </si>
  <si>
    <t>Recettes de l'Agence</t>
  </si>
  <si>
    <t xml:space="preserve">totaux </t>
  </si>
  <si>
    <t xml:space="preserve">Total des charges </t>
  </si>
  <si>
    <t xml:space="preserve">redevances directes (écolages) </t>
  </si>
  <si>
    <t>Charges nouveau service EGD</t>
  </si>
  <si>
    <t>Recettes nouveau service EGD</t>
  </si>
  <si>
    <t xml:space="preserve">Moyenne par élèves des charges hors personnel </t>
  </si>
  <si>
    <t>EGD</t>
  </si>
  <si>
    <t>nombre d'élèves dans le résau</t>
  </si>
  <si>
    <t xml:space="preserve">directeur du développement : </t>
  </si>
  <si>
    <t>sous-directeur du développement (un par zone) :</t>
  </si>
  <si>
    <t>chargés de mission :</t>
  </si>
  <si>
    <t>chargé de relation MENJ :</t>
  </si>
  <si>
    <t>chargés de relation partenaires associatifs et privés :</t>
  </si>
  <si>
    <t>postes de coordination, d’assistance et de secrétariat :</t>
  </si>
  <si>
    <t>directeur de l’excellence :</t>
  </si>
  <si>
    <t>directeurs adjoints :</t>
  </si>
  <si>
    <t>conseillers pédagogiques (indexé : 1 pour 600 élèves dans le réseau).</t>
  </si>
  <si>
    <t>responsable du système qualité :</t>
  </si>
  <si>
    <t>auditeurs internes du système qualité :</t>
  </si>
  <si>
    <t>chargés de mission médiation, associations de parents, autorités locales…</t>
  </si>
  <si>
    <t>proviseurs, directeurs et DAF détachés (indexé :1 pour 800 élèves dans le réseau).</t>
  </si>
  <si>
    <t>enseignants détachés (indexé : 1 pour 80 élèves dans le réseau).</t>
  </si>
  <si>
    <t>année 1</t>
  </si>
  <si>
    <t>année 5</t>
  </si>
  <si>
    <t>année 10</t>
  </si>
  <si>
    <t>cout approx.</t>
  </si>
  <si>
    <t>TETE DE RESEAU</t>
  </si>
  <si>
    <t>DANS LES ETABLISSEMENTS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</si>
</sst>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i/>
      <sz val="11"/>
      <color theme="1"/>
      <name val="Calibri"/>
      <family val="2"/>
      <scheme val="minor"/>
    </font>
    <font>
      <sz val="7"/>
      <color theme="1"/>
      <name val="Trebuchet MS"/>
      <family val="2"/>
    </font>
    <font>
      <i/>
      <sz val="7"/>
      <color theme="1"/>
      <name val="Trebuchet MS"/>
      <family val="2"/>
    </font>
    <font>
      <i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30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3" fillId="2" borderId="20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31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horizontal="right" vertical="center" wrapText="1"/>
    </xf>
    <xf numFmtId="3" fontId="3" fillId="3" borderId="17" xfId="0" applyNumberFormat="1" applyFont="1" applyFill="1" applyBorder="1" applyAlignment="1">
      <alignment horizontal="center" vertical="center" wrapText="1"/>
    </xf>
    <xf numFmtId="3" fontId="3" fillId="3" borderId="32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right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3" fontId="4" fillId="2" borderId="24" xfId="0" applyNumberFormat="1" applyFont="1" applyFill="1" applyBorder="1" applyAlignment="1">
      <alignment horizontal="right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2" borderId="43" xfId="0" applyNumberFormat="1" applyFont="1" applyFill="1" applyBorder="1" applyAlignment="1">
      <alignment horizontal="center" vertical="center" wrapText="1"/>
    </xf>
    <xf numFmtId="3" fontId="3" fillId="3" borderId="43" xfId="0" applyNumberFormat="1" applyFont="1" applyFill="1" applyBorder="1" applyAlignment="1">
      <alignment horizontal="center" vertical="center" wrapText="1"/>
    </xf>
    <xf numFmtId="3" fontId="3" fillId="3" borderId="43" xfId="0" applyNumberFormat="1" applyFont="1" applyFill="1" applyBorder="1" applyAlignment="1">
      <alignment horizontal="right" vertical="center" wrapText="1"/>
    </xf>
    <xf numFmtId="3" fontId="3" fillId="3" borderId="44" xfId="0" applyNumberFormat="1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3" fontId="3" fillId="2" borderId="33" xfId="0" applyNumberFormat="1" applyFont="1" applyFill="1" applyBorder="1" applyAlignment="1">
      <alignment horizontal="right" vertical="center" wrapText="1"/>
    </xf>
    <xf numFmtId="3" fontId="3" fillId="2" borderId="24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right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3" fontId="3" fillId="5" borderId="24" xfId="0" applyNumberFormat="1" applyFont="1" applyFill="1" applyBorder="1" applyAlignment="1">
      <alignment horizontal="right" vertical="center" wrapText="1"/>
    </xf>
    <xf numFmtId="3" fontId="3" fillId="4" borderId="33" xfId="0" applyNumberFormat="1" applyFont="1" applyFill="1" applyBorder="1" applyAlignment="1">
      <alignment horizontal="right" vertical="center" wrapText="1"/>
    </xf>
    <xf numFmtId="0" fontId="0" fillId="5" borderId="0" xfId="0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3" fontId="3" fillId="6" borderId="21" xfId="0" applyNumberFormat="1" applyFont="1" applyFill="1" applyBorder="1" applyAlignment="1">
      <alignment horizontal="right" vertic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6" borderId="14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15" xfId="0" applyNumberFormat="1" applyFont="1" applyFill="1" applyBorder="1" applyAlignment="1">
      <alignment horizontal="right" vertical="center" wrapText="1"/>
    </xf>
    <xf numFmtId="3" fontId="3" fillId="6" borderId="18" xfId="0" applyNumberFormat="1" applyFont="1" applyFill="1" applyBorder="1" applyAlignment="1">
      <alignment horizontal="right" vertical="center" wrapText="1"/>
    </xf>
    <xf numFmtId="3" fontId="3" fillId="6" borderId="12" xfId="0" applyNumberFormat="1" applyFont="1" applyFill="1" applyBorder="1" applyAlignment="1">
      <alignment horizontal="right" vertical="center" wrapText="1"/>
    </xf>
    <xf numFmtId="3" fontId="3" fillId="6" borderId="16" xfId="0" applyNumberFormat="1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right" vertical="center" wrapText="1"/>
    </xf>
    <xf numFmtId="3" fontId="3" fillId="6" borderId="22" xfId="0" applyNumberFormat="1" applyFont="1" applyFill="1" applyBorder="1" applyAlignment="1">
      <alignment horizontal="right" vertical="center" wrapText="1"/>
    </xf>
    <xf numFmtId="3" fontId="3" fillId="6" borderId="33" xfId="0" applyNumberFormat="1" applyFont="1" applyFill="1" applyBorder="1" applyAlignment="1">
      <alignment horizontal="right" vertical="center" wrapText="1"/>
    </xf>
    <xf numFmtId="0" fontId="4" fillId="7" borderId="54" xfId="0" applyFont="1" applyFill="1" applyBorder="1" applyAlignment="1">
      <alignment horizontal="center" vertical="center" wrapText="1"/>
    </xf>
    <xf numFmtId="3" fontId="3" fillId="8" borderId="20" xfId="0" applyNumberFormat="1" applyFont="1" applyFill="1" applyBorder="1" applyAlignment="1">
      <alignment horizontal="right" vertical="center" wrapText="1"/>
    </xf>
    <xf numFmtId="0" fontId="3" fillId="8" borderId="52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vertical="center" wrapText="1"/>
    </xf>
    <xf numFmtId="3" fontId="3" fillId="8" borderId="33" xfId="0" applyNumberFormat="1" applyFont="1" applyFill="1" applyBorder="1" applyAlignment="1">
      <alignment horizontal="right" vertical="center" wrapText="1"/>
    </xf>
    <xf numFmtId="3" fontId="3" fillId="8" borderId="24" xfId="0" applyNumberFormat="1" applyFont="1" applyFill="1" applyBorder="1" applyAlignment="1">
      <alignment horizontal="center" vertical="center" wrapText="1"/>
    </xf>
    <xf numFmtId="3" fontId="3" fillId="8" borderId="22" xfId="0" applyNumberFormat="1" applyFont="1" applyFill="1" applyBorder="1" applyAlignment="1">
      <alignment horizontal="right" vertical="center" wrapText="1"/>
    </xf>
    <xf numFmtId="3" fontId="3" fillId="8" borderId="15" xfId="0" applyNumberFormat="1" applyFont="1" applyFill="1" applyBorder="1" applyAlignment="1">
      <alignment horizontal="center" vertical="center" wrapText="1"/>
    </xf>
    <xf numFmtId="0" fontId="3" fillId="8" borderId="53" xfId="0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5" fontId="0" fillId="0" borderId="22" xfId="0" applyNumberFormat="1" applyBorder="1" applyAlignment="1">
      <alignment horizontal="right"/>
    </xf>
    <xf numFmtId="165" fontId="0" fillId="0" borderId="24" xfId="0" applyNumberFormat="1" applyBorder="1"/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67" xfId="0" applyBorder="1"/>
    <xf numFmtId="165" fontId="0" fillId="0" borderId="68" xfId="0" applyNumberFormat="1" applyBorder="1"/>
    <xf numFmtId="0" fontId="0" fillId="0" borderId="13" xfId="0" applyBorder="1"/>
    <xf numFmtId="165" fontId="0" fillId="0" borderId="15" xfId="0" applyNumberFormat="1" applyBorder="1"/>
    <xf numFmtId="0" fontId="0" fillId="0" borderId="16" xfId="0" applyBorder="1"/>
    <xf numFmtId="165" fontId="0" fillId="0" borderId="18" xfId="0" applyNumberFormat="1" applyBorder="1"/>
    <xf numFmtId="0" fontId="0" fillId="8" borderId="13" xfId="0" applyFill="1" applyBorder="1"/>
    <xf numFmtId="0" fontId="0" fillId="8" borderId="16" xfId="0" applyFill="1" applyBorder="1"/>
    <xf numFmtId="0" fontId="6" fillId="0" borderId="41" xfId="0" applyFont="1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69" xfId="0" applyBorder="1" applyAlignment="1">
      <alignment horizontal="right"/>
    </xf>
    <xf numFmtId="0" fontId="3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&#233;d&#233;ric%20Pett/Documents/001%20Assemblee%20Nationale/Commission%20des%20AE/Rapport%20programme%20185/AEFE/mod&#232;le%20SCSP%20sur%2010%20ans%20&#224;%202%20m&#233;ti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nnée 1 SCSP"/>
      <sheetName val="année 1 analytique"/>
      <sheetName val="annee 5 SCSP"/>
      <sheetName val="année 5 analytique"/>
      <sheetName val="annee 10 SCSP"/>
      <sheetName val="année 10 analytique"/>
      <sheetName val="évolution à la louche"/>
    </sheetNames>
    <sheetDataSet>
      <sheetData sheetId="0">
        <row r="4">
          <cell r="F4">
            <v>111000</v>
          </cell>
        </row>
        <row r="5">
          <cell r="F5">
            <v>522000</v>
          </cell>
        </row>
        <row r="6">
          <cell r="F6">
            <v>1242000</v>
          </cell>
        </row>
        <row r="7">
          <cell r="F7">
            <v>42000</v>
          </cell>
        </row>
        <row r="8">
          <cell r="F8">
            <v>84000</v>
          </cell>
        </row>
        <row r="9">
          <cell r="F9">
            <v>720000</v>
          </cell>
        </row>
        <row r="10">
          <cell r="F10">
            <v>111000</v>
          </cell>
        </row>
        <row r="11">
          <cell r="F11">
            <v>348000</v>
          </cell>
        </row>
        <row r="12">
          <cell r="F12">
            <v>4500000</v>
          </cell>
        </row>
        <row r="13">
          <cell r="F13">
            <v>75000</v>
          </cell>
        </row>
        <row r="14">
          <cell r="F14">
            <v>1368000</v>
          </cell>
        </row>
        <row r="15">
          <cell r="F15">
            <v>684000</v>
          </cell>
        </row>
        <row r="18">
          <cell r="F18">
            <v>64800000</v>
          </cell>
        </row>
        <row r="19">
          <cell r="F19">
            <v>378000000</v>
          </cell>
        </row>
      </sheetData>
      <sheetData sheetId="1"/>
      <sheetData sheetId="2">
        <row r="19">
          <cell r="F19">
            <v>529199999.99999988</v>
          </cell>
        </row>
      </sheetData>
      <sheetData sheetId="3"/>
      <sheetData sheetId="4">
        <row r="18">
          <cell r="F18">
            <v>129600000</v>
          </cell>
        </row>
        <row r="19">
          <cell r="F19">
            <v>756000000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0257-A447-4193-AECE-0EDD249CA9FE}">
  <dimension ref="A2:R15"/>
  <sheetViews>
    <sheetView topLeftCell="A2" zoomScale="140" zoomScaleNormal="140" workbookViewId="0">
      <selection activeCell="L13" sqref="L13"/>
    </sheetView>
  </sheetViews>
  <sheetFormatPr baseColWidth="10" defaultColWidth="11.5703125" defaultRowHeight="15" x14ac:dyDescent="0.25"/>
  <cols>
    <col min="1" max="1" width="17.28515625" style="1" customWidth="1"/>
    <col min="2" max="2" width="4.28515625" style="1" customWidth="1"/>
    <col min="3" max="3" width="6" style="1" customWidth="1"/>
    <col min="4" max="4" width="4.85546875" style="1" customWidth="1"/>
    <col min="5" max="5" width="8.28515625" style="1" customWidth="1"/>
    <col min="6" max="6" width="4.85546875" style="1" customWidth="1"/>
    <col min="7" max="7" width="8.28515625" style="1" customWidth="1"/>
    <col min="8" max="8" width="4.85546875" style="1" customWidth="1"/>
    <col min="9" max="10" width="8.28515625" style="1" customWidth="1"/>
    <col min="11" max="11" width="9" style="1" customWidth="1"/>
    <col min="12" max="12" width="10.85546875" style="1" customWidth="1"/>
    <col min="13" max="13" width="4.85546875" style="1" customWidth="1"/>
    <col min="14" max="14" width="8.28515625" style="1" customWidth="1"/>
    <col min="15" max="15" width="4.85546875" style="1" customWidth="1"/>
    <col min="16" max="16" width="8.28515625" style="1" customWidth="1"/>
    <col min="17" max="17" width="4.85546875" style="1" customWidth="1"/>
    <col min="18" max="18" width="24.85546875" style="1" hidden="1" customWidth="1"/>
    <col min="19" max="16384" width="11.5703125" style="1"/>
  </cols>
  <sheetData>
    <row r="2" spans="1:18" ht="15.75" thickBot="1" x14ac:dyDescent="0.3"/>
    <row r="3" spans="1:18" ht="34.35" customHeight="1" x14ac:dyDescent="0.25">
      <c r="A3" s="138" t="s">
        <v>11</v>
      </c>
      <c r="B3" s="141" t="s">
        <v>2</v>
      </c>
      <c r="C3" s="143" t="s">
        <v>7</v>
      </c>
      <c r="D3" s="130" t="s">
        <v>14</v>
      </c>
      <c r="E3" s="131"/>
      <c r="F3" s="131"/>
      <c r="G3" s="131"/>
      <c r="H3" s="131"/>
      <c r="I3" s="131"/>
      <c r="J3" s="131"/>
      <c r="K3" s="6" t="s">
        <v>15</v>
      </c>
      <c r="L3" s="126" t="s">
        <v>19</v>
      </c>
      <c r="M3" s="127"/>
      <c r="N3" s="130" t="s">
        <v>20</v>
      </c>
      <c r="O3" s="131"/>
      <c r="P3" s="131"/>
      <c r="Q3" s="132"/>
      <c r="R3" s="123" t="s">
        <v>11</v>
      </c>
    </row>
    <row r="4" spans="1:18" ht="36.6" customHeight="1" x14ac:dyDescent="0.25">
      <c r="A4" s="139"/>
      <c r="B4" s="135"/>
      <c r="C4" s="144"/>
      <c r="D4" s="139" t="s">
        <v>3</v>
      </c>
      <c r="E4" s="135"/>
      <c r="F4" s="135" t="s">
        <v>4</v>
      </c>
      <c r="G4" s="135"/>
      <c r="H4" s="135" t="s">
        <v>5</v>
      </c>
      <c r="I4" s="135"/>
      <c r="J4" s="136" t="s">
        <v>6</v>
      </c>
      <c r="K4" s="133">
        <f>48800000+613700000-597700000</f>
        <v>64800000</v>
      </c>
      <c r="L4" s="128"/>
      <c r="M4" s="129"/>
      <c r="N4" s="128" t="s">
        <v>13</v>
      </c>
      <c r="O4" s="129"/>
      <c r="P4" s="128" t="s">
        <v>16</v>
      </c>
      <c r="Q4" s="129"/>
      <c r="R4" s="124"/>
    </row>
    <row r="5" spans="1:18" ht="21.6" customHeight="1" thickBot="1" x14ac:dyDescent="0.3">
      <c r="A5" s="140"/>
      <c r="B5" s="142"/>
      <c r="C5" s="145"/>
      <c r="D5" s="7" t="s">
        <v>1</v>
      </c>
      <c r="E5" s="8" t="s">
        <v>0</v>
      </c>
      <c r="F5" s="8" t="s">
        <v>1</v>
      </c>
      <c r="G5" s="8" t="s">
        <v>0</v>
      </c>
      <c r="H5" s="8" t="s">
        <v>1</v>
      </c>
      <c r="I5" s="8" t="s">
        <v>0</v>
      </c>
      <c r="J5" s="137"/>
      <c r="K5" s="134"/>
      <c r="L5" s="9" t="s">
        <v>17</v>
      </c>
      <c r="M5" s="10" t="s">
        <v>18</v>
      </c>
      <c r="N5" s="9" t="s">
        <v>17</v>
      </c>
      <c r="O5" s="10" t="s">
        <v>18</v>
      </c>
      <c r="P5" s="11" t="s">
        <v>17</v>
      </c>
      <c r="Q5" s="10" t="s">
        <v>18</v>
      </c>
      <c r="R5" s="125"/>
    </row>
    <row r="6" spans="1:18" ht="34.700000000000003" customHeight="1" x14ac:dyDescent="0.25">
      <c r="A6" s="12" t="s">
        <v>8</v>
      </c>
      <c r="B6" s="13">
        <v>70</v>
      </c>
      <c r="C6" s="14">
        <v>75000</v>
      </c>
      <c r="D6" s="15">
        <v>340</v>
      </c>
      <c r="E6" s="16">
        <v>58400000</v>
      </c>
      <c r="F6" s="82">
        <v>2500</v>
      </c>
      <c r="G6" s="16">
        <v>213200000</v>
      </c>
      <c r="H6" s="17">
        <v>4620</v>
      </c>
      <c r="I6" s="18">
        <v>170500000</v>
      </c>
      <c r="J6" s="19">
        <v>255000000</v>
      </c>
      <c r="K6" s="20">
        <f>$K$4/$C$9*C6</f>
        <v>13135135.135135135</v>
      </c>
      <c r="L6" s="21">
        <f>E6+G6+I6+J6+K6</f>
        <v>710235135.13513517</v>
      </c>
      <c r="M6" s="81">
        <f>L6/C6</f>
        <v>9469.8018018018029</v>
      </c>
      <c r="N6" s="23">
        <v>359400000</v>
      </c>
      <c r="O6" s="81">
        <f>N6/C6</f>
        <v>4792</v>
      </c>
      <c r="P6" s="23">
        <f>L6-N6</f>
        <v>350835135.13513517</v>
      </c>
      <c r="Q6" s="87">
        <f>P6/C6</f>
        <v>4677.801801801802</v>
      </c>
      <c r="R6" s="80" t="s">
        <v>8</v>
      </c>
    </row>
    <row r="7" spans="1:18" ht="34.700000000000003" customHeight="1" x14ac:dyDescent="0.25">
      <c r="A7" s="24" t="s">
        <v>12</v>
      </c>
      <c r="B7" s="25">
        <v>150</v>
      </c>
      <c r="C7" s="26">
        <v>120000</v>
      </c>
      <c r="D7" s="27">
        <v>660</v>
      </c>
      <c r="E7" s="28">
        <v>113500000</v>
      </c>
      <c r="F7" s="83">
        <v>2500</v>
      </c>
      <c r="G7" s="28">
        <v>213200000</v>
      </c>
      <c r="H7" s="29">
        <v>0</v>
      </c>
      <c r="I7" s="30">
        <v>0</v>
      </c>
      <c r="J7" s="31">
        <v>0</v>
      </c>
      <c r="K7" s="32">
        <f t="shared" ref="K7:K8" si="0">$K$4/$C$9*C7</f>
        <v>21016216.216216214</v>
      </c>
      <c r="L7" s="33">
        <f t="shared" ref="L7:L8" si="1">E7+G7+I7+J7+K7</f>
        <v>347716216.21621621</v>
      </c>
      <c r="M7" s="85">
        <f t="shared" ref="M7:M8" si="2">L7/C7</f>
        <v>2897.635135135135</v>
      </c>
      <c r="N7" s="33">
        <v>141500000</v>
      </c>
      <c r="O7" s="85">
        <f>N7/C7</f>
        <v>1179.1666666666667</v>
      </c>
      <c r="P7" s="33">
        <f>L7-N7</f>
        <v>206216216.21621621</v>
      </c>
      <c r="Q7" s="85">
        <f>P7/C7</f>
        <v>1718.4684684684685</v>
      </c>
      <c r="R7" s="3" t="s">
        <v>12</v>
      </c>
    </row>
    <row r="8" spans="1:18" ht="34.700000000000003" customHeight="1" thickBot="1" x14ac:dyDescent="0.3">
      <c r="A8" s="34" t="s">
        <v>9</v>
      </c>
      <c r="B8" s="35">
        <v>300</v>
      </c>
      <c r="C8" s="36">
        <v>175000</v>
      </c>
      <c r="D8" s="88">
        <v>0</v>
      </c>
      <c r="E8" s="38">
        <v>0</v>
      </c>
      <c r="F8" s="89">
        <v>0</v>
      </c>
      <c r="G8" s="38">
        <v>0</v>
      </c>
      <c r="H8" s="39">
        <v>0</v>
      </c>
      <c r="I8" s="38">
        <v>0</v>
      </c>
      <c r="J8" s="40">
        <v>0</v>
      </c>
      <c r="K8" s="41">
        <f t="shared" si="0"/>
        <v>30648648.648648649</v>
      </c>
      <c r="L8" s="42">
        <f t="shared" si="1"/>
        <v>30648648.648648649</v>
      </c>
      <c r="M8" s="86">
        <f t="shared" si="2"/>
        <v>175.13513513513513</v>
      </c>
      <c r="N8" s="42">
        <v>7000000</v>
      </c>
      <c r="O8" s="86">
        <f>N8/C8</f>
        <v>40</v>
      </c>
      <c r="P8" s="42">
        <f>L8-N8</f>
        <v>23648648.648648649</v>
      </c>
      <c r="Q8" s="86">
        <f>P8/C8</f>
        <v>135.13513513513513</v>
      </c>
      <c r="R8" s="4" t="s">
        <v>9</v>
      </c>
    </row>
    <row r="9" spans="1:18" ht="25.7" customHeight="1" thickBot="1" x14ac:dyDescent="0.3">
      <c r="A9" s="43" t="s">
        <v>21</v>
      </c>
      <c r="B9" s="44">
        <f>SUM(B6:B8)</f>
        <v>520</v>
      </c>
      <c r="C9" s="45">
        <f t="shared" ref="C9:P9" si="3">SUM(C6:C8)</f>
        <v>370000</v>
      </c>
      <c r="D9" s="46">
        <f t="shared" si="3"/>
        <v>1000</v>
      </c>
      <c r="E9" s="47">
        <f t="shared" si="3"/>
        <v>171900000</v>
      </c>
      <c r="F9" s="48">
        <f t="shared" si="3"/>
        <v>5000</v>
      </c>
      <c r="G9" s="47">
        <f t="shared" si="3"/>
        <v>426400000</v>
      </c>
      <c r="H9" s="48">
        <f t="shared" si="3"/>
        <v>4620</v>
      </c>
      <c r="I9" s="47">
        <f t="shared" si="3"/>
        <v>170500000</v>
      </c>
      <c r="J9" s="49">
        <f t="shared" si="3"/>
        <v>255000000</v>
      </c>
      <c r="K9" s="49">
        <f t="shared" si="3"/>
        <v>64800000</v>
      </c>
      <c r="L9" s="50">
        <f t="shared" si="3"/>
        <v>1088600000</v>
      </c>
      <c r="M9" s="91">
        <f>L9/C9</f>
        <v>2942.1621621621621</v>
      </c>
      <c r="N9" s="50">
        <f t="shared" si="3"/>
        <v>507900000</v>
      </c>
      <c r="O9" s="91">
        <f>N9/C9</f>
        <v>1372.7027027027027</v>
      </c>
      <c r="P9" s="50">
        <f t="shared" si="3"/>
        <v>580700000</v>
      </c>
      <c r="Q9" s="91">
        <f>P9/C9</f>
        <v>1569.4594594594594</v>
      </c>
      <c r="R9" s="5" t="s">
        <v>10</v>
      </c>
    </row>
    <row r="10" spans="1:18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N10" s="2"/>
      <c r="O10" s="2"/>
      <c r="P10" s="2"/>
      <c r="Q10" s="2"/>
    </row>
    <row r="11" spans="1:18" ht="30" customHeight="1" x14ac:dyDescent="0.25">
      <c r="I11" s="122" t="s">
        <v>26</v>
      </c>
      <c r="J11" s="122"/>
    </row>
    <row r="12" spans="1:18" ht="15.6" customHeight="1" x14ac:dyDescent="0.25">
      <c r="I12" s="84" t="s">
        <v>27</v>
      </c>
      <c r="J12" s="90">
        <f>(J6+K6)/C6</f>
        <v>3575.1351351351354</v>
      </c>
    </row>
    <row r="13" spans="1:18" ht="15.6" customHeight="1" x14ac:dyDescent="0.25"/>
    <row r="14" spans="1:18" ht="15.6" customHeight="1" x14ac:dyDescent="0.25"/>
    <row r="15" spans="1:18" ht="15.6" customHeight="1" x14ac:dyDescent="0.25"/>
  </sheetData>
  <mergeCells count="15">
    <mergeCell ref="A3:A5"/>
    <mergeCell ref="B3:B5"/>
    <mergeCell ref="C3:C5"/>
    <mergeCell ref="D4:E4"/>
    <mergeCell ref="F4:G4"/>
    <mergeCell ref="I11:J11"/>
    <mergeCell ref="R3:R5"/>
    <mergeCell ref="L3:M4"/>
    <mergeCell ref="N3:Q3"/>
    <mergeCell ref="N4:O4"/>
    <mergeCell ref="P4:Q4"/>
    <mergeCell ref="K4:K5"/>
    <mergeCell ref="H4:I4"/>
    <mergeCell ref="D3:J3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14D6-B2F1-4243-9400-955EEF23B3D0}">
  <dimension ref="A1:K24"/>
  <sheetViews>
    <sheetView workbookViewId="0">
      <selection activeCell="A31" sqref="A31"/>
    </sheetView>
  </sheetViews>
  <sheetFormatPr baseColWidth="10" defaultRowHeight="15" x14ac:dyDescent="0.25"/>
  <cols>
    <col min="1" max="1" width="66.7109375" customWidth="1"/>
    <col min="2" max="2" width="7.5703125" customWidth="1"/>
    <col min="3" max="3" width="14.85546875" style="105" customWidth="1"/>
    <col min="4" max="4" width="7.5703125" style="105" customWidth="1"/>
    <col min="5" max="5" width="14.85546875" style="105" customWidth="1"/>
    <col min="6" max="6" width="7.5703125" style="105" customWidth="1"/>
    <col min="7" max="7" width="13.7109375" style="105" customWidth="1"/>
    <col min="8" max="10" width="10.5703125" style="105" customWidth="1"/>
  </cols>
  <sheetData>
    <row r="1" spans="1:11" ht="15.75" thickBot="1" x14ac:dyDescent="0.3">
      <c r="C1" s="104"/>
      <c r="K1" s="105"/>
    </row>
    <row r="2" spans="1:11" x14ac:dyDescent="0.25">
      <c r="A2" s="106"/>
      <c r="B2" s="163" t="s">
        <v>43</v>
      </c>
      <c r="C2" s="164"/>
      <c r="D2" s="164" t="s">
        <v>44</v>
      </c>
      <c r="E2" s="164"/>
      <c r="F2" s="164" t="s">
        <v>45</v>
      </c>
      <c r="G2" s="165"/>
      <c r="K2" s="105"/>
    </row>
    <row r="3" spans="1:11" ht="15.75" thickBot="1" x14ac:dyDescent="0.3">
      <c r="A3" s="106" t="s">
        <v>28</v>
      </c>
      <c r="B3" s="160">
        <v>360000</v>
      </c>
      <c r="C3" s="161"/>
      <c r="D3" s="161">
        <v>504000</v>
      </c>
      <c r="E3" s="161"/>
      <c r="F3" s="161">
        <v>720000</v>
      </c>
      <c r="G3" s="162"/>
      <c r="K3" s="105"/>
    </row>
    <row r="4" spans="1:11" ht="15.75" thickBot="1" x14ac:dyDescent="0.3">
      <c r="A4" s="106"/>
      <c r="B4" s="109" t="s">
        <v>1</v>
      </c>
      <c r="C4" s="110" t="s">
        <v>46</v>
      </c>
      <c r="D4" s="109" t="s">
        <v>1</v>
      </c>
      <c r="E4" s="110" t="s">
        <v>46</v>
      </c>
      <c r="F4" s="109" t="s">
        <v>1</v>
      </c>
      <c r="G4" s="110" t="s">
        <v>46</v>
      </c>
      <c r="K4" s="105"/>
    </row>
    <row r="5" spans="1:11" x14ac:dyDescent="0.25">
      <c r="A5" s="119" t="s">
        <v>47</v>
      </c>
      <c r="B5" s="109"/>
      <c r="C5" s="110"/>
      <c r="D5" s="109"/>
      <c r="E5" s="110"/>
      <c r="F5" s="109"/>
      <c r="G5" s="110"/>
      <c r="K5" s="105"/>
    </row>
    <row r="6" spans="1:11" x14ac:dyDescent="0.25">
      <c r="A6" s="120" t="s">
        <v>29</v>
      </c>
      <c r="B6" s="111">
        <v>1</v>
      </c>
      <c r="C6" s="112">
        <f>'[1] année 1 SCSP'!F4</f>
        <v>111000</v>
      </c>
      <c r="D6" s="111">
        <v>1</v>
      </c>
      <c r="E6" s="112">
        <v>111000</v>
      </c>
      <c r="F6" s="111">
        <v>1</v>
      </c>
      <c r="G6" s="112">
        <v>111000</v>
      </c>
      <c r="K6" s="105"/>
    </row>
    <row r="7" spans="1:11" x14ac:dyDescent="0.25">
      <c r="A7" s="120" t="s">
        <v>30</v>
      </c>
      <c r="B7" s="113">
        <v>6</v>
      </c>
      <c r="C7" s="114">
        <f>'[1] année 1 SCSP'!F5</f>
        <v>522000</v>
      </c>
      <c r="D7" s="113">
        <v>6</v>
      </c>
      <c r="E7" s="114">
        <v>522000</v>
      </c>
      <c r="F7" s="113">
        <v>6</v>
      </c>
      <c r="G7" s="114">
        <v>522000</v>
      </c>
      <c r="K7" s="105"/>
    </row>
    <row r="8" spans="1:11" x14ac:dyDescent="0.25">
      <c r="A8" s="120" t="s">
        <v>31</v>
      </c>
      <c r="B8" s="113">
        <v>18</v>
      </c>
      <c r="C8" s="114">
        <f>'[1] année 1 SCSP'!F6</f>
        <v>1242000</v>
      </c>
      <c r="D8" s="113">
        <v>18</v>
      </c>
      <c r="E8" s="114">
        <v>1242000</v>
      </c>
      <c r="F8" s="113">
        <v>18</v>
      </c>
      <c r="G8" s="114">
        <v>1242000</v>
      </c>
      <c r="K8" s="105"/>
    </row>
    <row r="9" spans="1:11" x14ac:dyDescent="0.25">
      <c r="A9" s="120" t="s">
        <v>32</v>
      </c>
      <c r="B9" s="113">
        <v>1</v>
      </c>
      <c r="C9" s="114">
        <f>'[1] année 1 SCSP'!F7</f>
        <v>42000</v>
      </c>
      <c r="D9" s="113">
        <v>1</v>
      </c>
      <c r="E9" s="114">
        <v>42000</v>
      </c>
      <c r="F9" s="113">
        <v>1</v>
      </c>
      <c r="G9" s="114">
        <v>42000</v>
      </c>
      <c r="K9" s="105"/>
    </row>
    <row r="10" spans="1:11" x14ac:dyDescent="0.25">
      <c r="A10" s="120" t="s">
        <v>33</v>
      </c>
      <c r="B10" s="113">
        <v>2</v>
      </c>
      <c r="C10" s="114">
        <f>'[1] année 1 SCSP'!F8</f>
        <v>84000</v>
      </c>
      <c r="D10" s="113">
        <v>2</v>
      </c>
      <c r="E10" s="114">
        <v>84000</v>
      </c>
      <c r="F10" s="113">
        <v>2</v>
      </c>
      <c r="G10" s="114">
        <v>84000</v>
      </c>
      <c r="K10" s="105"/>
    </row>
    <row r="11" spans="1:11" x14ac:dyDescent="0.25">
      <c r="A11" s="120" t="s">
        <v>34</v>
      </c>
      <c r="B11" s="113">
        <v>30</v>
      </c>
      <c r="C11" s="114">
        <f>'[1] année 1 SCSP'!F9</f>
        <v>720000</v>
      </c>
      <c r="D11" s="113">
        <v>25</v>
      </c>
      <c r="E11" s="114">
        <v>900000</v>
      </c>
      <c r="F11" s="113">
        <v>30</v>
      </c>
      <c r="G11" s="114">
        <v>1080000</v>
      </c>
      <c r="K11" s="105"/>
    </row>
    <row r="12" spans="1:11" x14ac:dyDescent="0.25">
      <c r="A12" s="120" t="s">
        <v>35</v>
      </c>
      <c r="B12" s="113">
        <v>1</v>
      </c>
      <c r="C12" s="114">
        <f>'[1] année 1 SCSP'!F10</f>
        <v>111000</v>
      </c>
      <c r="D12" s="113">
        <v>1</v>
      </c>
      <c r="E12" s="114">
        <v>111000</v>
      </c>
      <c r="F12" s="113">
        <v>1</v>
      </c>
      <c r="G12" s="114">
        <v>111000</v>
      </c>
      <c r="K12" s="105"/>
    </row>
    <row r="13" spans="1:11" x14ac:dyDescent="0.25">
      <c r="A13" s="120" t="s">
        <v>36</v>
      </c>
      <c r="B13" s="113">
        <v>4</v>
      </c>
      <c r="C13" s="114">
        <f>'[1] année 1 SCSP'!F11</f>
        <v>348000</v>
      </c>
      <c r="D13" s="113">
        <v>4</v>
      </c>
      <c r="E13" s="114">
        <v>348000</v>
      </c>
      <c r="F13" s="113">
        <v>4</v>
      </c>
      <c r="G13" s="114">
        <v>348000</v>
      </c>
      <c r="K13" s="105"/>
    </row>
    <row r="14" spans="1:11" x14ac:dyDescent="0.25">
      <c r="A14" s="120" t="s">
        <v>37</v>
      </c>
      <c r="B14" s="113">
        <f>E2/6000</f>
        <v>0</v>
      </c>
      <c r="C14" s="114">
        <f>'[1] année 1 SCSP'!F12</f>
        <v>4500000</v>
      </c>
      <c r="D14" s="117">
        <v>83.999999999999986</v>
      </c>
      <c r="E14" s="114">
        <v>6299999.9999999991</v>
      </c>
      <c r="F14" s="117">
        <v>120</v>
      </c>
      <c r="G14" s="114">
        <v>9000000</v>
      </c>
      <c r="K14" s="105"/>
    </row>
    <row r="15" spans="1:11" x14ac:dyDescent="0.25">
      <c r="A15" s="120" t="s">
        <v>38</v>
      </c>
      <c r="B15" s="113">
        <v>1</v>
      </c>
      <c r="C15" s="114">
        <f>'[1] année 1 SCSP'!F13</f>
        <v>75000</v>
      </c>
      <c r="D15" s="113">
        <v>1</v>
      </c>
      <c r="E15" s="114">
        <v>75000</v>
      </c>
      <c r="F15" s="113">
        <v>1</v>
      </c>
      <c r="G15" s="114">
        <v>75000</v>
      </c>
      <c r="K15" s="105"/>
    </row>
    <row r="16" spans="1:11" x14ac:dyDescent="0.25">
      <c r="A16" s="120" t="s">
        <v>39</v>
      </c>
      <c r="B16" s="113">
        <v>24</v>
      </c>
      <c r="C16" s="114">
        <f>'[1] année 1 SCSP'!F14</f>
        <v>1368000</v>
      </c>
      <c r="D16" s="113">
        <v>24</v>
      </c>
      <c r="E16" s="114">
        <v>1368000</v>
      </c>
      <c r="F16" s="113">
        <v>24</v>
      </c>
      <c r="G16" s="114">
        <v>1368000</v>
      </c>
      <c r="K16" s="105"/>
    </row>
    <row r="17" spans="1:11" ht="15.75" thickBot="1" x14ac:dyDescent="0.3">
      <c r="A17" s="121" t="s">
        <v>40</v>
      </c>
      <c r="B17" s="115">
        <v>12</v>
      </c>
      <c r="C17" s="116">
        <f>'[1] année 1 SCSP'!F15</f>
        <v>684000</v>
      </c>
      <c r="D17" s="115">
        <v>12</v>
      </c>
      <c r="E17" s="116">
        <v>684000</v>
      </c>
      <c r="F17" s="115">
        <v>12</v>
      </c>
      <c r="G17" s="116">
        <v>684000</v>
      </c>
      <c r="K17" s="105"/>
    </row>
    <row r="18" spans="1:11" x14ac:dyDescent="0.25">
      <c r="A18" s="119" t="s">
        <v>48</v>
      </c>
      <c r="B18" s="109"/>
      <c r="C18" s="110"/>
      <c r="D18" s="109"/>
      <c r="E18" s="110"/>
      <c r="F18" s="109"/>
      <c r="G18" s="110"/>
      <c r="K18" s="105"/>
    </row>
    <row r="19" spans="1:11" x14ac:dyDescent="0.25">
      <c r="A19" s="120" t="s">
        <v>41</v>
      </c>
      <c r="B19" s="113">
        <v>450</v>
      </c>
      <c r="C19" s="114">
        <f>'[1] année 1 SCSP'!F18</f>
        <v>64800000</v>
      </c>
      <c r="D19" s="117">
        <v>629.99999999999989</v>
      </c>
      <c r="E19" s="114">
        <v>90719999.999999985</v>
      </c>
      <c r="F19" s="117">
        <v>900</v>
      </c>
      <c r="G19" s="114">
        <v>129600000</v>
      </c>
      <c r="K19" s="105"/>
    </row>
    <row r="20" spans="1:11" ht="15.75" thickBot="1" x14ac:dyDescent="0.3">
      <c r="A20" s="121" t="s">
        <v>42</v>
      </c>
      <c r="B20" s="115">
        <v>4500</v>
      </c>
      <c r="C20" s="116">
        <f>'[1] année 1 SCSP'!F19</f>
        <v>378000000</v>
      </c>
      <c r="D20" s="118">
        <v>6299.9999999999991</v>
      </c>
      <c r="E20" s="116">
        <v>529199999.99999988</v>
      </c>
      <c r="F20" s="118">
        <v>9000</v>
      </c>
      <c r="G20" s="116">
        <v>756000000</v>
      </c>
    </row>
    <row r="23" spans="1:11" ht="15.75" thickBot="1" x14ac:dyDescent="0.3"/>
    <row r="24" spans="1:11" ht="15.75" thickBot="1" x14ac:dyDescent="0.3">
      <c r="D24" s="107"/>
      <c r="E24" s="108"/>
    </row>
  </sheetData>
  <mergeCells count="6">
    <mergeCell ref="B3:C3"/>
    <mergeCell ref="D3:E3"/>
    <mergeCell ref="F3:G3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7B2E-9CB3-486B-9374-6A9B51021807}">
  <dimension ref="A2:Q13"/>
  <sheetViews>
    <sheetView topLeftCell="A2" zoomScale="110" zoomScaleNormal="110" workbookViewId="0">
      <selection activeCell="D19" sqref="D19"/>
    </sheetView>
  </sheetViews>
  <sheetFormatPr baseColWidth="10" defaultColWidth="11.5703125" defaultRowHeight="15" x14ac:dyDescent="0.25"/>
  <cols>
    <col min="1" max="1" width="18" style="1" customWidth="1"/>
    <col min="2" max="2" width="5.85546875" style="1" customWidth="1"/>
    <col min="3" max="3" width="6.5703125" style="1" customWidth="1"/>
    <col min="4" max="4" width="5.5703125" style="1" customWidth="1"/>
    <col min="5" max="5" width="9" style="1" customWidth="1"/>
    <col min="6" max="6" width="5.5703125" style="1" customWidth="1"/>
    <col min="7" max="7" width="9" style="1" customWidth="1"/>
    <col min="8" max="8" width="5.5703125" style="1" customWidth="1"/>
    <col min="9" max="12" width="9" style="1" customWidth="1"/>
    <col min="13" max="13" width="5.5703125" style="1" customWidth="1"/>
    <col min="14" max="14" width="9" style="1" customWidth="1"/>
    <col min="15" max="15" width="5.5703125" style="1" customWidth="1"/>
    <col min="16" max="16" width="10.5703125" style="1" customWidth="1"/>
    <col min="17" max="17" width="5.5703125" style="1" customWidth="1"/>
    <col min="18" max="16384" width="11.5703125" style="1"/>
  </cols>
  <sheetData>
    <row r="2" spans="1:17" ht="15.75" thickBot="1" x14ac:dyDescent="0.3"/>
    <row r="3" spans="1:17" ht="34.35" customHeight="1" x14ac:dyDescent="0.25">
      <c r="A3" s="146" t="s">
        <v>11</v>
      </c>
      <c r="B3" s="149" t="s">
        <v>2</v>
      </c>
      <c r="C3" s="143" t="s">
        <v>7</v>
      </c>
      <c r="D3" s="130" t="s">
        <v>14</v>
      </c>
      <c r="E3" s="131"/>
      <c r="F3" s="131"/>
      <c r="G3" s="131"/>
      <c r="H3" s="131"/>
      <c r="I3" s="131"/>
      <c r="J3" s="131"/>
      <c r="K3" s="6" t="s">
        <v>15</v>
      </c>
      <c r="L3" s="126" t="s">
        <v>19</v>
      </c>
      <c r="M3" s="127"/>
      <c r="N3" s="130" t="s">
        <v>20</v>
      </c>
      <c r="O3" s="131"/>
      <c r="P3" s="131"/>
      <c r="Q3" s="132"/>
    </row>
    <row r="4" spans="1:17" ht="36.6" customHeight="1" x14ac:dyDescent="0.25">
      <c r="A4" s="147"/>
      <c r="B4" s="150"/>
      <c r="C4" s="144"/>
      <c r="D4" s="139" t="s">
        <v>3</v>
      </c>
      <c r="E4" s="135"/>
      <c r="F4" s="135" t="s">
        <v>4</v>
      </c>
      <c r="G4" s="135"/>
      <c r="H4" s="135" t="s">
        <v>5</v>
      </c>
      <c r="I4" s="135"/>
      <c r="J4" s="136" t="s">
        <v>6</v>
      </c>
      <c r="K4" s="133">
        <f>48800000+613700000-597700000</f>
        <v>64800000</v>
      </c>
      <c r="L4" s="128"/>
      <c r="M4" s="129"/>
      <c r="N4" s="128" t="s">
        <v>13</v>
      </c>
      <c r="O4" s="129"/>
      <c r="P4" s="128" t="s">
        <v>16</v>
      </c>
      <c r="Q4" s="129"/>
    </row>
    <row r="5" spans="1:17" ht="21.6" customHeight="1" thickBot="1" x14ac:dyDescent="0.3">
      <c r="A5" s="148"/>
      <c r="B5" s="151"/>
      <c r="C5" s="152"/>
      <c r="D5" s="9" t="s">
        <v>1</v>
      </c>
      <c r="E5" s="59" t="s">
        <v>0</v>
      </c>
      <c r="F5" s="59" t="s">
        <v>1</v>
      </c>
      <c r="G5" s="59" t="s">
        <v>0</v>
      </c>
      <c r="H5" s="59" t="s">
        <v>1</v>
      </c>
      <c r="I5" s="59" t="s">
        <v>0</v>
      </c>
      <c r="J5" s="153"/>
      <c r="K5" s="134"/>
      <c r="L5" s="9" t="s">
        <v>17</v>
      </c>
      <c r="M5" s="10" t="s">
        <v>18</v>
      </c>
      <c r="N5" s="9" t="s">
        <v>17</v>
      </c>
      <c r="O5" s="10" t="s">
        <v>18</v>
      </c>
      <c r="P5" s="11" t="s">
        <v>17</v>
      </c>
      <c r="Q5" s="10" t="s">
        <v>18</v>
      </c>
    </row>
    <row r="6" spans="1:17" ht="34.700000000000003" customHeight="1" x14ac:dyDescent="0.25">
      <c r="A6" s="64" t="s">
        <v>12</v>
      </c>
      <c r="B6" s="61">
        <v>220</v>
      </c>
      <c r="C6" s="26">
        <v>195000</v>
      </c>
      <c r="D6" s="52">
        <v>968.00000000000011</v>
      </c>
      <c r="E6" s="53">
        <f>0.8*166466666.666667</f>
        <v>133173333.33333361</v>
      </c>
      <c r="F6" s="54">
        <v>3666.6666666666674</v>
      </c>
      <c r="G6" s="53">
        <f>0.8*312693333.333333</f>
        <v>250154666.66666642</v>
      </c>
      <c r="H6" s="55">
        <v>0</v>
      </c>
      <c r="I6" s="56">
        <v>0</v>
      </c>
      <c r="J6" s="57">
        <v>0</v>
      </c>
      <c r="K6" s="22">
        <f>$K$4/$C$8*C6</f>
        <v>34151351.351351351</v>
      </c>
      <c r="L6" s="21">
        <f t="shared" ref="L6:L7" si="0">E6+G6+I6+J6+K6</f>
        <v>417479351.35135138</v>
      </c>
      <c r="M6" s="22">
        <f t="shared" ref="M6:M7" si="1">L6/C6</f>
        <v>2140.9197505197508</v>
      </c>
      <c r="N6" s="21">
        <f>C6*O6</f>
        <v>136500000</v>
      </c>
      <c r="O6" s="22">
        <v>700</v>
      </c>
      <c r="P6" s="21">
        <f>L6-N6</f>
        <v>280979351.35135138</v>
      </c>
      <c r="Q6" s="22">
        <f>P6/C6</f>
        <v>1440.9197505197508</v>
      </c>
    </row>
    <row r="7" spans="1:17" ht="34.700000000000003" customHeight="1" thickBot="1" x14ac:dyDescent="0.3">
      <c r="A7" s="65" t="s">
        <v>9</v>
      </c>
      <c r="B7" s="62">
        <v>300</v>
      </c>
      <c r="C7" s="36">
        <v>175000</v>
      </c>
      <c r="D7" s="37">
        <v>0</v>
      </c>
      <c r="E7" s="38">
        <v>0</v>
      </c>
      <c r="F7" s="39">
        <v>0</v>
      </c>
      <c r="G7" s="38">
        <v>0</v>
      </c>
      <c r="H7" s="39">
        <v>0</v>
      </c>
      <c r="I7" s="38">
        <v>0</v>
      </c>
      <c r="J7" s="40">
        <v>0</v>
      </c>
      <c r="K7" s="41">
        <f>$K$4/$C$8*C7</f>
        <v>30648648.648648649</v>
      </c>
      <c r="L7" s="42">
        <f t="shared" si="0"/>
        <v>30648648.648648649</v>
      </c>
      <c r="M7" s="41">
        <f t="shared" si="1"/>
        <v>175.13513513513513</v>
      </c>
      <c r="N7" s="42">
        <f>C7*O7</f>
        <v>30625000</v>
      </c>
      <c r="O7" s="41">
        <v>175</v>
      </c>
      <c r="P7" s="42">
        <f>L7-N7</f>
        <v>23648.648648649454</v>
      </c>
      <c r="Q7" s="41">
        <f>P7/C7</f>
        <v>0.13513513513513975</v>
      </c>
    </row>
    <row r="8" spans="1:17" ht="25.7" customHeight="1" thickBot="1" x14ac:dyDescent="0.3">
      <c r="A8" s="43" t="s">
        <v>21</v>
      </c>
      <c r="B8" s="63">
        <f>SUM(B6:B7)</f>
        <v>520</v>
      </c>
      <c r="C8" s="45">
        <f t="shared" ref="C8:Q8" si="2">SUM(C6:C7)</f>
        <v>370000</v>
      </c>
      <c r="D8" s="46">
        <f t="shared" si="2"/>
        <v>968.00000000000011</v>
      </c>
      <c r="E8" s="47">
        <f t="shared" si="2"/>
        <v>133173333.33333361</v>
      </c>
      <c r="F8" s="48">
        <f t="shared" si="2"/>
        <v>3666.6666666666674</v>
      </c>
      <c r="G8" s="47">
        <f t="shared" si="2"/>
        <v>250154666.66666642</v>
      </c>
      <c r="H8" s="48">
        <f t="shared" si="2"/>
        <v>0</v>
      </c>
      <c r="I8" s="47">
        <f t="shared" si="2"/>
        <v>0</v>
      </c>
      <c r="J8" s="49">
        <f t="shared" si="2"/>
        <v>0</v>
      </c>
      <c r="K8" s="49">
        <f t="shared" si="2"/>
        <v>64800000</v>
      </c>
      <c r="L8" s="50">
        <f t="shared" si="2"/>
        <v>448128000</v>
      </c>
      <c r="M8" s="51">
        <f t="shared" si="2"/>
        <v>2316.0548856548858</v>
      </c>
      <c r="N8" s="50">
        <f t="shared" si="2"/>
        <v>167125000</v>
      </c>
      <c r="O8" s="51">
        <f t="shared" si="2"/>
        <v>875</v>
      </c>
      <c r="P8" s="50">
        <f t="shared" si="2"/>
        <v>281003000</v>
      </c>
      <c r="Q8" s="51">
        <f t="shared" si="2"/>
        <v>1441.054885654886</v>
      </c>
    </row>
    <row r="9" spans="1:17" ht="15.75" thickBot="1" x14ac:dyDescent="0.3"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</row>
    <row r="10" spans="1:17" ht="15" customHeight="1" thickBot="1" x14ac:dyDescent="0.3">
      <c r="H10" s="154" t="s">
        <v>24</v>
      </c>
      <c r="I10" s="155"/>
      <c r="J10" s="155"/>
      <c r="K10" s="155"/>
      <c r="L10" s="155"/>
      <c r="M10" s="156"/>
      <c r="N10" s="154" t="s">
        <v>25</v>
      </c>
      <c r="O10" s="155"/>
      <c r="P10" s="155"/>
      <c r="Q10" s="156"/>
    </row>
    <row r="11" spans="1:17" ht="21.95" customHeight="1" x14ac:dyDescent="0.25">
      <c r="H11" s="157" t="s">
        <v>5</v>
      </c>
      <c r="I11" s="158"/>
      <c r="J11" s="159" t="s">
        <v>6</v>
      </c>
      <c r="K11" s="78"/>
      <c r="L11" s="128" t="s">
        <v>22</v>
      </c>
      <c r="M11" s="129"/>
      <c r="N11" s="128" t="s">
        <v>23</v>
      </c>
      <c r="O11" s="129"/>
      <c r="P11" s="128" t="s">
        <v>16</v>
      </c>
      <c r="Q11" s="129"/>
    </row>
    <row r="12" spans="1:17" ht="18.75" thickBot="1" x14ac:dyDescent="0.3">
      <c r="H12" s="9" t="s">
        <v>1</v>
      </c>
      <c r="I12" s="59" t="s">
        <v>0</v>
      </c>
      <c r="J12" s="153"/>
      <c r="K12" s="78"/>
      <c r="L12" s="9" t="s">
        <v>17</v>
      </c>
      <c r="M12" s="58" t="s">
        <v>18</v>
      </c>
      <c r="N12" s="9" t="s">
        <v>17</v>
      </c>
      <c r="O12" s="58" t="s">
        <v>18</v>
      </c>
      <c r="P12" s="60" t="s">
        <v>17</v>
      </c>
      <c r="Q12" s="58" t="s">
        <v>18</v>
      </c>
    </row>
    <row r="13" spans="1:17" ht="18.75" thickBot="1" x14ac:dyDescent="0.3">
      <c r="A13" s="66" t="s">
        <v>8</v>
      </c>
      <c r="B13" s="67">
        <v>70</v>
      </c>
      <c r="C13" s="68">
        <v>75000</v>
      </c>
      <c r="D13" s="73"/>
      <c r="E13" s="74"/>
      <c r="F13" s="75"/>
      <c r="G13" s="77"/>
      <c r="H13" s="79">
        <f>4620+1410</f>
        <v>6030</v>
      </c>
      <c r="I13" s="69">
        <f>0.9*222535714.285714</f>
        <v>200282142.8571426</v>
      </c>
      <c r="J13" s="93">
        <f>255000000*0.75+C13*O6</f>
        <v>243750000</v>
      </c>
      <c r="K13" s="76"/>
      <c r="L13" s="72">
        <f>E13+G13+I13+J13+K13</f>
        <v>444032142.85714257</v>
      </c>
      <c r="M13" s="71">
        <f>L13/C13</f>
        <v>5920.4285714285679</v>
      </c>
      <c r="N13" s="72">
        <f>O13*C13</f>
        <v>337500000</v>
      </c>
      <c r="O13" s="71">
        <v>4500</v>
      </c>
      <c r="P13" s="92">
        <f>L13-N13</f>
        <v>106532142.85714257</v>
      </c>
      <c r="Q13" s="71">
        <f>P13/C13</f>
        <v>1420.4285714285675</v>
      </c>
    </row>
  </sheetData>
  <mergeCells count="20">
    <mergeCell ref="N11:O11"/>
    <mergeCell ref="P11:Q11"/>
    <mergeCell ref="N10:Q10"/>
    <mergeCell ref="H11:I11"/>
    <mergeCell ref="J11:J12"/>
    <mergeCell ref="L11:M11"/>
    <mergeCell ref="H10:M10"/>
    <mergeCell ref="N4:O4"/>
    <mergeCell ref="P4:Q4"/>
    <mergeCell ref="A3:A5"/>
    <mergeCell ref="B3:B5"/>
    <mergeCell ref="C3:C5"/>
    <mergeCell ref="D3:J3"/>
    <mergeCell ref="L3:M4"/>
    <mergeCell ref="N3:Q3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DDB4-A898-43F2-9519-8BE9A48B0E70}">
  <dimension ref="A2:Q13"/>
  <sheetViews>
    <sheetView workbookViewId="0">
      <selection activeCell="P29" sqref="P29"/>
    </sheetView>
  </sheetViews>
  <sheetFormatPr baseColWidth="10" defaultColWidth="11.5703125" defaultRowHeight="15" x14ac:dyDescent="0.25"/>
  <cols>
    <col min="1" max="1" width="18" style="1" customWidth="1"/>
    <col min="2" max="2" width="5.85546875" style="1" customWidth="1"/>
    <col min="3" max="3" width="6.5703125" style="1" customWidth="1"/>
    <col min="4" max="4" width="5.5703125" style="1" customWidth="1"/>
    <col min="5" max="5" width="9" style="1" customWidth="1"/>
    <col min="6" max="6" width="5.5703125" style="1" customWidth="1"/>
    <col min="7" max="7" width="9" style="1" customWidth="1"/>
    <col min="8" max="8" width="5.5703125" style="1" customWidth="1"/>
    <col min="9" max="12" width="9" style="1" customWidth="1"/>
    <col min="13" max="13" width="5.5703125" style="1" customWidth="1"/>
    <col min="14" max="14" width="9" style="1" customWidth="1"/>
    <col min="15" max="15" width="5.5703125" style="1" customWidth="1"/>
    <col min="16" max="16" width="10.5703125" style="1" customWidth="1"/>
    <col min="17" max="17" width="5.5703125" style="1" customWidth="1"/>
    <col min="18" max="16384" width="11.5703125" style="1"/>
  </cols>
  <sheetData>
    <row r="2" spans="1:17" ht="15.75" thickBot="1" x14ac:dyDescent="0.3"/>
    <row r="3" spans="1:17" ht="34.35" customHeight="1" x14ac:dyDescent="0.25">
      <c r="A3" s="146" t="s">
        <v>11</v>
      </c>
      <c r="B3" s="149" t="s">
        <v>2</v>
      </c>
      <c r="C3" s="143" t="s">
        <v>7</v>
      </c>
      <c r="D3" s="130" t="s">
        <v>14</v>
      </c>
      <c r="E3" s="131"/>
      <c r="F3" s="131"/>
      <c r="G3" s="131"/>
      <c r="H3" s="131"/>
      <c r="I3" s="131"/>
      <c r="J3" s="131"/>
      <c r="K3" s="6" t="s">
        <v>15</v>
      </c>
      <c r="L3" s="126" t="s">
        <v>19</v>
      </c>
      <c r="M3" s="127"/>
      <c r="N3" s="130" t="s">
        <v>20</v>
      </c>
      <c r="O3" s="131"/>
      <c r="P3" s="131"/>
      <c r="Q3" s="132"/>
    </row>
    <row r="4" spans="1:17" ht="36.6" customHeight="1" x14ac:dyDescent="0.25">
      <c r="A4" s="147"/>
      <c r="B4" s="150"/>
      <c r="C4" s="144"/>
      <c r="D4" s="139" t="s">
        <v>3</v>
      </c>
      <c r="E4" s="135"/>
      <c r="F4" s="135" t="s">
        <v>4</v>
      </c>
      <c r="G4" s="135"/>
      <c r="H4" s="135" t="s">
        <v>5</v>
      </c>
      <c r="I4" s="135"/>
      <c r="J4" s="136" t="s">
        <v>6</v>
      </c>
      <c r="K4" s="133">
        <f>48800000+613700000-597700000</f>
        <v>64800000</v>
      </c>
      <c r="L4" s="128"/>
      <c r="M4" s="129"/>
      <c r="N4" s="128" t="s">
        <v>13</v>
      </c>
      <c r="O4" s="129"/>
      <c r="P4" s="128" t="s">
        <v>16</v>
      </c>
      <c r="Q4" s="129"/>
    </row>
    <row r="5" spans="1:17" ht="21.6" customHeight="1" thickBot="1" x14ac:dyDescent="0.3">
      <c r="A5" s="148"/>
      <c r="B5" s="151"/>
      <c r="C5" s="152"/>
      <c r="D5" s="9" t="s">
        <v>1</v>
      </c>
      <c r="E5" s="59" t="s">
        <v>0</v>
      </c>
      <c r="F5" s="59" t="s">
        <v>1</v>
      </c>
      <c r="G5" s="59" t="s">
        <v>0</v>
      </c>
      <c r="H5" s="59" t="s">
        <v>1</v>
      </c>
      <c r="I5" s="59" t="s">
        <v>0</v>
      </c>
      <c r="J5" s="153"/>
      <c r="K5" s="134"/>
      <c r="L5" s="9" t="s">
        <v>17</v>
      </c>
      <c r="M5" s="58" t="s">
        <v>18</v>
      </c>
      <c r="N5" s="9" t="s">
        <v>17</v>
      </c>
      <c r="O5" s="58" t="s">
        <v>18</v>
      </c>
      <c r="P5" s="60" t="s">
        <v>17</v>
      </c>
      <c r="Q5" s="58" t="s">
        <v>18</v>
      </c>
    </row>
    <row r="6" spans="1:17" ht="34.700000000000003" customHeight="1" x14ac:dyDescent="0.25">
      <c r="A6" s="64" t="s">
        <v>12</v>
      </c>
      <c r="B6" s="96">
        <v>650</v>
      </c>
      <c r="C6" s="26">
        <v>424000</v>
      </c>
      <c r="D6" s="52">
        <f>(C6+C7)/800</f>
        <v>630</v>
      </c>
      <c r="E6" s="53">
        <v>90719999.999999985</v>
      </c>
      <c r="F6" s="54">
        <f>(C6+C7)/80</f>
        <v>6300</v>
      </c>
      <c r="G6" s="53">
        <f>'[1]annee 5 SCSP'!$F$19</f>
        <v>529199999.99999988</v>
      </c>
      <c r="H6" s="55">
        <v>0</v>
      </c>
      <c r="I6" s="56">
        <v>0</v>
      </c>
      <c r="J6" s="57">
        <v>0</v>
      </c>
      <c r="K6" s="22">
        <f>$K$4/$C$8*C6</f>
        <v>54514285.714285716</v>
      </c>
      <c r="L6" s="21">
        <f t="shared" ref="L6:L7" si="0">E6+G6+I6+J6+K6</f>
        <v>674434285.71428561</v>
      </c>
      <c r="M6" s="22">
        <f t="shared" ref="M6:M7" si="1">L6/C6</f>
        <v>1590.6469002695414</v>
      </c>
      <c r="N6" s="21">
        <f>C6*O6</f>
        <v>296800000</v>
      </c>
      <c r="O6" s="22">
        <v>700</v>
      </c>
      <c r="P6" s="95">
        <f>L6-N6</f>
        <v>377634285.71428561</v>
      </c>
      <c r="Q6" s="22">
        <f>P6/C6</f>
        <v>890.64690026954156</v>
      </c>
    </row>
    <row r="7" spans="1:17" ht="34.700000000000003" customHeight="1" thickBot="1" x14ac:dyDescent="0.3">
      <c r="A7" s="65" t="s">
        <v>9</v>
      </c>
      <c r="B7" s="62">
        <v>100</v>
      </c>
      <c r="C7" s="36">
        <v>80000</v>
      </c>
      <c r="D7" s="37">
        <v>0</v>
      </c>
      <c r="E7" s="38">
        <v>0</v>
      </c>
      <c r="F7" s="39">
        <v>0</v>
      </c>
      <c r="G7" s="38">
        <v>0</v>
      </c>
      <c r="H7" s="39">
        <v>0</v>
      </c>
      <c r="I7" s="38">
        <v>0</v>
      </c>
      <c r="J7" s="40">
        <v>0</v>
      </c>
      <c r="K7" s="41">
        <f>$K$4/$C$8*C7</f>
        <v>10285714.285714287</v>
      </c>
      <c r="L7" s="42">
        <f t="shared" si="0"/>
        <v>10285714.285714287</v>
      </c>
      <c r="M7" s="41">
        <f t="shared" si="1"/>
        <v>128.57142857142858</v>
      </c>
      <c r="N7" s="42">
        <f>C7*O7</f>
        <v>14000000</v>
      </c>
      <c r="O7" s="41">
        <v>175</v>
      </c>
      <c r="P7" s="42">
        <f>L7-N7</f>
        <v>-3714285.7142857127</v>
      </c>
      <c r="Q7" s="41">
        <f>P7/C7</f>
        <v>-46.428571428571409</v>
      </c>
    </row>
    <row r="8" spans="1:17" ht="25.7" customHeight="1" thickBot="1" x14ac:dyDescent="0.3">
      <c r="A8" s="43" t="s">
        <v>21</v>
      </c>
      <c r="B8" s="94">
        <f>SUM(B6:B7)</f>
        <v>750</v>
      </c>
      <c r="C8" s="45">
        <f t="shared" ref="C8:Q8" si="2">SUM(C6:C7)</f>
        <v>504000</v>
      </c>
      <c r="D8" s="46">
        <f t="shared" si="2"/>
        <v>630</v>
      </c>
      <c r="E8" s="47">
        <f t="shared" si="2"/>
        <v>90719999.999999985</v>
      </c>
      <c r="F8" s="48">
        <f t="shared" si="2"/>
        <v>6300</v>
      </c>
      <c r="G8" s="47">
        <f t="shared" si="2"/>
        <v>529199999.99999988</v>
      </c>
      <c r="H8" s="48">
        <f t="shared" si="2"/>
        <v>0</v>
      </c>
      <c r="I8" s="47">
        <f t="shared" si="2"/>
        <v>0</v>
      </c>
      <c r="J8" s="49">
        <f t="shared" si="2"/>
        <v>0</v>
      </c>
      <c r="K8" s="49">
        <f t="shared" si="2"/>
        <v>64800000</v>
      </c>
      <c r="L8" s="50">
        <f t="shared" si="2"/>
        <v>684719999.99999988</v>
      </c>
      <c r="M8" s="51">
        <f t="shared" si="2"/>
        <v>1719.2183288409701</v>
      </c>
      <c r="N8" s="50">
        <f t="shared" si="2"/>
        <v>310800000</v>
      </c>
      <c r="O8" s="51">
        <f t="shared" si="2"/>
        <v>875</v>
      </c>
      <c r="P8" s="50">
        <f t="shared" si="2"/>
        <v>373919999.99999988</v>
      </c>
      <c r="Q8" s="51">
        <f t="shared" si="2"/>
        <v>844.21832884097012</v>
      </c>
    </row>
    <row r="9" spans="1:17" ht="15.75" thickBot="1" x14ac:dyDescent="0.3"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</row>
    <row r="10" spans="1:17" ht="15" customHeight="1" thickBot="1" x14ac:dyDescent="0.3">
      <c r="H10" s="154" t="s">
        <v>24</v>
      </c>
      <c r="I10" s="155"/>
      <c r="J10" s="155"/>
      <c r="K10" s="155"/>
      <c r="L10" s="155"/>
      <c r="M10" s="156"/>
      <c r="N10" s="154" t="s">
        <v>25</v>
      </c>
      <c r="O10" s="155"/>
      <c r="P10" s="155"/>
      <c r="Q10" s="156"/>
    </row>
    <row r="11" spans="1:17" ht="21.95" customHeight="1" x14ac:dyDescent="0.25">
      <c r="H11" s="157" t="s">
        <v>5</v>
      </c>
      <c r="I11" s="158"/>
      <c r="J11" s="159" t="s">
        <v>6</v>
      </c>
      <c r="K11" s="78"/>
      <c r="L11" s="128" t="s">
        <v>22</v>
      </c>
      <c r="M11" s="129"/>
      <c r="N11" s="128" t="s">
        <v>23</v>
      </c>
      <c r="O11" s="129"/>
      <c r="P11" s="128" t="s">
        <v>16</v>
      </c>
      <c r="Q11" s="129"/>
    </row>
    <row r="12" spans="1:17" ht="18.75" thickBot="1" x14ac:dyDescent="0.3">
      <c r="H12" s="9" t="s">
        <v>1</v>
      </c>
      <c r="I12" s="59" t="s">
        <v>0</v>
      </c>
      <c r="J12" s="153"/>
      <c r="K12" s="78"/>
      <c r="L12" s="9" t="s">
        <v>17</v>
      </c>
      <c r="M12" s="58" t="s">
        <v>18</v>
      </c>
      <c r="N12" s="9" t="s">
        <v>17</v>
      </c>
      <c r="O12" s="58" t="s">
        <v>18</v>
      </c>
      <c r="P12" s="60" t="s">
        <v>17</v>
      </c>
      <c r="Q12" s="58" t="s">
        <v>18</v>
      </c>
    </row>
    <row r="13" spans="1:17" ht="18.75" thickBot="1" x14ac:dyDescent="0.3">
      <c r="A13" s="66" t="s">
        <v>8</v>
      </c>
      <c r="B13" s="67">
        <v>70</v>
      </c>
      <c r="C13" s="99">
        <v>85000</v>
      </c>
      <c r="D13" s="73"/>
      <c r="E13" s="74"/>
      <c r="F13" s="75"/>
      <c r="G13" s="77"/>
      <c r="H13" s="79">
        <v>6150</v>
      </c>
      <c r="I13" s="69">
        <f>'budg. analytique année 1'!I13/'budg. analytique année 1'!H13*'budg analytique année 5'!H13</f>
        <v>204267857.1428569</v>
      </c>
      <c r="J13" s="98">
        <f>255000000*0.75+C13*O6</f>
        <v>250750000</v>
      </c>
      <c r="K13" s="76"/>
      <c r="L13" s="72">
        <f>E13+G13+I13+J13+K13</f>
        <v>455017857.1428569</v>
      </c>
      <c r="M13" s="97">
        <f>L13/C13</f>
        <v>5353.1512605041989</v>
      </c>
      <c r="N13" s="72">
        <f>O13*C13</f>
        <v>408000000</v>
      </c>
      <c r="O13" s="71">
        <v>4800</v>
      </c>
      <c r="P13" s="92">
        <f>L13-N13</f>
        <v>47017857.142856896</v>
      </c>
      <c r="Q13" s="71">
        <f>P13/C13</f>
        <v>553.15126050419883</v>
      </c>
    </row>
  </sheetData>
  <mergeCells count="20">
    <mergeCell ref="H10:M10"/>
    <mergeCell ref="N10:Q10"/>
    <mergeCell ref="H11:I11"/>
    <mergeCell ref="J11:J12"/>
    <mergeCell ref="L11:M11"/>
    <mergeCell ref="N11:O11"/>
    <mergeCell ref="P11:Q11"/>
    <mergeCell ref="A3:A5"/>
    <mergeCell ref="B3:B5"/>
    <mergeCell ref="C3:C5"/>
    <mergeCell ref="D3:J3"/>
    <mergeCell ref="L3:M4"/>
    <mergeCell ref="K4:K5"/>
    <mergeCell ref="N3:Q3"/>
    <mergeCell ref="D4:E4"/>
    <mergeCell ref="F4:G4"/>
    <mergeCell ref="H4:I4"/>
    <mergeCell ref="J4:J5"/>
    <mergeCell ref="N4:O4"/>
    <mergeCell ref="P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1BE4-0878-4952-9CED-D2AC61A6FBCB}">
  <dimension ref="A2:Q13"/>
  <sheetViews>
    <sheetView tabSelected="1" workbookViewId="0">
      <selection activeCell="M29" sqref="M29"/>
    </sheetView>
  </sheetViews>
  <sheetFormatPr baseColWidth="10" defaultColWidth="11.5703125" defaultRowHeight="15" x14ac:dyDescent="0.25"/>
  <cols>
    <col min="1" max="1" width="18" style="1" customWidth="1"/>
    <col min="2" max="2" width="5.85546875" style="1" customWidth="1"/>
    <col min="3" max="3" width="6.5703125" style="1" customWidth="1"/>
    <col min="4" max="4" width="5.5703125" style="1" customWidth="1"/>
    <col min="5" max="5" width="9" style="1" customWidth="1"/>
    <col min="6" max="6" width="5.5703125" style="1" customWidth="1"/>
    <col min="7" max="7" width="9" style="1" customWidth="1"/>
    <col min="8" max="8" width="5.5703125" style="1" customWidth="1"/>
    <col min="9" max="12" width="9" style="1" customWidth="1"/>
    <col min="13" max="13" width="5.5703125" style="1" customWidth="1"/>
    <col min="14" max="14" width="9" style="1" customWidth="1"/>
    <col min="15" max="15" width="5.5703125" style="1" customWidth="1"/>
    <col min="16" max="16" width="10.5703125" style="1" customWidth="1"/>
    <col min="17" max="17" width="5.5703125" style="1" customWidth="1"/>
    <col min="18" max="16384" width="11.5703125" style="1"/>
  </cols>
  <sheetData>
    <row r="2" spans="1:17" ht="15.75" thickBot="1" x14ac:dyDescent="0.3"/>
    <row r="3" spans="1:17" ht="34.35" customHeight="1" x14ac:dyDescent="0.25">
      <c r="A3" s="146" t="s">
        <v>11</v>
      </c>
      <c r="B3" s="149" t="s">
        <v>2</v>
      </c>
      <c r="C3" s="143" t="s">
        <v>7</v>
      </c>
      <c r="D3" s="130" t="s">
        <v>14</v>
      </c>
      <c r="E3" s="131"/>
      <c r="F3" s="131"/>
      <c r="G3" s="131"/>
      <c r="H3" s="131"/>
      <c r="I3" s="131"/>
      <c r="J3" s="131"/>
      <c r="K3" s="6" t="s">
        <v>15</v>
      </c>
      <c r="L3" s="126" t="s">
        <v>19</v>
      </c>
      <c r="M3" s="127"/>
      <c r="N3" s="130" t="s">
        <v>20</v>
      </c>
      <c r="O3" s="131"/>
      <c r="P3" s="131"/>
      <c r="Q3" s="132"/>
    </row>
    <row r="4" spans="1:17" ht="36.6" customHeight="1" x14ac:dyDescent="0.25">
      <c r="A4" s="147"/>
      <c r="B4" s="150"/>
      <c r="C4" s="144"/>
      <c r="D4" s="139" t="s">
        <v>3</v>
      </c>
      <c r="E4" s="135"/>
      <c r="F4" s="135" t="s">
        <v>4</v>
      </c>
      <c r="G4" s="135"/>
      <c r="H4" s="135" t="s">
        <v>5</v>
      </c>
      <c r="I4" s="135"/>
      <c r="J4" s="136" t="s">
        <v>6</v>
      </c>
      <c r="K4" s="133">
        <f>48800000+613700000-597700000</f>
        <v>64800000</v>
      </c>
      <c r="L4" s="128"/>
      <c r="M4" s="129"/>
      <c r="N4" s="128" t="s">
        <v>13</v>
      </c>
      <c r="O4" s="129"/>
      <c r="P4" s="128" t="s">
        <v>16</v>
      </c>
      <c r="Q4" s="129"/>
    </row>
    <row r="5" spans="1:17" ht="21.6" customHeight="1" thickBot="1" x14ac:dyDescent="0.3">
      <c r="A5" s="148"/>
      <c r="B5" s="151"/>
      <c r="C5" s="152"/>
      <c r="D5" s="9" t="s">
        <v>1</v>
      </c>
      <c r="E5" s="59" t="s">
        <v>0</v>
      </c>
      <c r="F5" s="59" t="s">
        <v>1</v>
      </c>
      <c r="G5" s="59" t="s">
        <v>0</v>
      </c>
      <c r="H5" s="59" t="s">
        <v>1</v>
      </c>
      <c r="I5" s="59" t="s">
        <v>0</v>
      </c>
      <c r="J5" s="153"/>
      <c r="K5" s="134"/>
      <c r="L5" s="9" t="s">
        <v>17</v>
      </c>
      <c r="M5" s="58" t="s">
        <v>18</v>
      </c>
      <c r="N5" s="9" t="s">
        <v>17</v>
      </c>
      <c r="O5" s="58" t="s">
        <v>18</v>
      </c>
      <c r="P5" s="60" t="s">
        <v>17</v>
      </c>
      <c r="Q5" s="58" t="s">
        <v>18</v>
      </c>
    </row>
    <row r="6" spans="1:17" ht="34.700000000000003" customHeight="1" x14ac:dyDescent="0.25">
      <c r="A6" s="64" t="s">
        <v>12</v>
      </c>
      <c r="B6" s="96">
        <v>800</v>
      </c>
      <c r="C6" s="101">
        <v>690000</v>
      </c>
      <c r="D6" s="52">
        <f>(C6+C7)/800</f>
        <v>900</v>
      </c>
      <c r="E6" s="53">
        <f>'[1]annee 10 SCSP'!$F$18</f>
        <v>129600000</v>
      </c>
      <c r="F6" s="54">
        <f>(C6+C7)/80</f>
        <v>9000</v>
      </c>
      <c r="G6" s="53">
        <f>'[1]annee 10 SCSP'!$F$19</f>
        <v>756000000</v>
      </c>
      <c r="H6" s="55">
        <v>0</v>
      </c>
      <c r="I6" s="56">
        <v>0</v>
      </c>
      <c r="J6" s="57">
        <v>0</v>
      </c>
      <c r="K6" s="22">
        <f>$K$4/$C$8*C6</f>
        <v>62100000</v>
      </c>
      <c r="L6" s="21">
        <f t="shared" ref="L6:L7" si="0">E6+G6+I6+J6+K6</f>
        <v>947700000</v>
      </c>
      <c r="M6" s="22">
        <f t="shared" ref="M6:M7" si="1">L6/C6</f>
        <v>1373.4782608695652</v>
      </c>
      <c r="N6" s="21">
        <f>C6*O6</f>
        <v>483000000</v>
      </c>
      <c r="O6" s="22">
        <v>700</v>
      </c>
      <c r="P6" s="95">
        <f>L6-N6</f>
        <v>464700000</v>
      </c>
      <c r="Q6" s="22">
        <f>P6/C6</f>
        <v>673.47826086956525</v>
      </c>
    </row>
    <row r="7" spans="1:17" ht="34.700000000000003" customHeight="1" thickBot="1" x14ac:dyDescent="0.3">
      <c r="A7" s="65" t="s">
        <v>9</v>
      </c>
      <c r="B7" s="102">
        <v>50</v>
      </c>
      <c r="C7" s="103">
        <v>30000</v>
      </c>
      <c r="D7" s="37">
        <v>0</v>
      </c>
      <c r="E7" s="38">
        <v>0</v>
      </c>
      <c r="F7" s="39">
        <v>0</v>
      </c>
      <c r="G7" s="38">
        <v>0</v>
      </c>
      <c r="H7" s="39">
        <v>0</v>
      </c>
      <c r="I7" s="38">
        <v>0</v>
      </c>
      <c r="J7" s="40">
        <v>0</v>
      </c>
      <c r="K7" s="41">
        <f>$K$4/$C$8*C7</f>
        <v>2700000</v>
      </c>
      <c r="L7" s="42">
        <f t="shared" si="0"/>
        <v>2700000</v>
      </c>
      <c r="M7" s="41">
        <f t="shared" si="1"/>
        <v>90</v>
      </c>
      <c r="N7" s="42">
        <f>C7*O7</f>
        <v>5250000</v>
      </c>
      <c r="O7" s="41">
        <v>175</v>
      </c>
      <c r="P7" s="42">
        <f>L7-N7</f>
        <v>-2550000</v>
      </c>
      <c r="Q7" s="41">
        <f>P7/C7</f>
        <v>-85</v>
      </c>
    </row>
    <row r="8" spans="1:17" ht="25.7" customHeight="1" thickBot="1" x14ac:dyDescent="0.3">
      <c r="A8" s="43" t="s">
        <v>21</v>
      </c>
      <c r="B8" s="63">
        <f>SUM(B6:B7)</f>
        <v>850</v>
      </c>
      <c r="C8" s="45">
        <f t="shared" ref="C8:Q8" si="2">SUM(C6:C7)</f>
        <v>720000</v>
      </c>
      <c r="D8" s="46">
        <f t="shared" si="2"/>
        <v>900</v>
      </c>
      <c r="E8" s="47">
        <f t="shared" si="2"/>
        <v>129600000</v>
      </c>
      <c r="F8" s="48">
        <f t="shared" si="2"/>
        <v>9000</v>
      </c>
      <c r="G8" s="47">
        <f t="shared" si="2"/>
        <v>756000000</v>
      </c>
      <c r="H8" s="48">
        <f t="shared" si="2"/>
        <v>0</v>
      </c>
      <c r="I8" s="47">
        <f t="shared" si="2"/>
        <v>0</v>
      </c>
      <c r="J8" s="49">
        <f t="shared" si="2"/>
        <v>0</v>
      </c>
      <c r="K8" s="49">
        <f t="shared" si="2"/>
        <v>64800000</v>
      </c>
      <c r="L8" s="50">
        <f t="shared" si="2"/>
        <v>950400000</v>
      </c>
      <c r="M8" s="51">
        <f t="shared" si="2"/>
        <v>1463.4782608695652</v>
      </c>
      <c r="N8" s="50">
        <f t="shared" si="2"/>
        <v>488250000</v>
      </c>
      <c r="O8" s="51">
        <f t="shared" si="2"/>
        <v>875</v>
      </c>
      <c r="P8" s="50">
        <f t="shared" si="2"/>
        <v>462150000</v>
      </c>
      <c r="Q8" s="51">
        <f t="shared" si="2"/>
        <v>588.47826086956525</v>
      </c>
    </row>
    <row r="9" spans="1:17" ht="15.75" thickBot="1" x14ac:dyDescent="0.3"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</row>
    <row r="10" spans="1:17" ht="15" customHeight="1" thickBot="1" x14ac:dyDescent="0.3">
      <c r="H10" s="154" t="s">
        <v>24</v>
      </c>
      <c r="I10" s="155"/>
      <c r="J10" s="155"/>
      <c r="K10" s="155"/>
      <c r="L10" s="155"/>
      <c r="M10" s="156"/>
      <c r="N10" s="154" t="s">
        <v>25</v>
      </c>
      <c r="O10" s="155"/>
      <c r="P10" s="155"/>
      <c r="Q10" s="156"/>
    </row>
    <row r="11" spans="1:17" ht="21.95" customHeight="1" x14ac:dyDescent="0.25">
      <c r="H11" s="157" t="s">
        <v>5</v>
      </c>
      <c r="I11" s="158"/>
      <c r="J11" s="159" t="s">
        <v>6</v>
      </c>
      <c r="K11" s="78"/>
      <c r="L11" s="128" t="s">
        <v>22</v>
      </c>
      <c r="M11" s="129"/>
      <c r="N11" s="128" t="s">
        <v>23</v>
      </c>
      <c r="O11" s="129"/>
      <c r="P11" s="128" t="s">
        <v>16</v>
      </c>
      <c r="Q11" s="129"/>
    </row>
    <row r="12" spans="1:17" ht="18.75" thickBot="1" x14ac:dyDescent="0.3">
      <c r="H12" s="9" t="s">
        <v>1</v>
      </c>
      <c r="I12" s="59" t="s">
        <v>0</v>
      </c>
      <c r="J12" s="153"/>
      <c r="K12" s="78"/>
      <c r="L12" s="9" t="s">
        <v>17</v>
      </c>
      <c r="M12" s="58" t="s">
        <v>18</v>
      </c>
      <c r="N12" s="9" t="s">
        <v>17</v>
      </c>
      <c r="O12" s="58" t="s">
        <v>18</v>
      </c>
      <c r="P12" s="60" t="s">
        <v>17</v>
      </c>
      <c r="Q12" s="58" t="s">
        <v>18</v>
      </c>
    </row>
    <row r="13" spans="1:17" ht="18.75" thickBot="1" x14ac:dyDescent="0.3">
      <c r="A13" s="66" t="s">
        <v>8</v>
      </c>
      <c r="B13" s="67">
        <v>70</v>
      </c>
      <c r="C13" s="99">
        <v>93139.534883720873</v>
      </c>
      <c r="D13" s="73"/>
      <c r="E13" s="74"/>
      <c r="F13" s="75"/>
      <c r="G13" s="77"/>
      <c r="H13" s="79">
        <v>6300</v>
      </c>
      <c r="I13" s="69">
        <f>'budg. analytique année 1'!I13/'budg. analytique année 1'!H13*H13</f>
        <v>209249999.99999973</v>
      </c>
      <c r="J13" s="70">
        <f>255000000*0.75+C13*O6</f>
        <v>256447674.41860461</v>
      </c>
      <c r="K13" s="76"/>
      <c r="L13" s="72">
        <f>E13+G13+I13+J13+K13</f>
        <v>465697674.41860437</v>
      </c>
      <c r="M13" s="71">
        <f>L13/C13</f>
        <v>5000</v>
      </c>
      <c r="N13" s="72">
        <f>O13*C13</f>
        <v>465697674.41860437</v>
      </c>
      <c r="O13" s="71">
        <v>5000</v>
      </c>
      <c r="P13" s="100">
        <f>L13-N13</f>
        <v>0</v>
      </c>
      <c r="Q13" s="71">
        <f>P13/C13</f>
        <v>0</v>
      </c>
    </row>
  </sheetData>
  <mergeCells count="20">
    <mergeCell ref="H10:M10"/>
    <mergeCell ref="N10:Q10"/>
    <mergeCell ref="H11:I11"/>
    <mergeCell ref="J11:J12"/>
    <mergeCell ref="L11:M11"/>
    <mergeCell ref="N11:O11"/>
    <mergeCell ref="P11:Q11"/>
    <mergeCell ref="A3:A5"/>
    <mergeCell ref="B3:B5"/>
    <mergeCell ref="C3:C5"/>
    <mergeCell ref="D3:J3"/>
    <mergeCell ref="L3:M4"/>
    <mergeCell ref="K4:K5"/>
    <mergeCell ref="N3:Q3"/>
    <mergeCell ref="D4:E4"/>
    <mergeCell ref="F4:G4"/>
    <mergeCell ref="H4:I4"/>
    <mergeCell ref="J4:J5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aujourd'hui</vt:lpstr>
      <vt:lpstr>éolution org. année 1, 5, et 10</vt:lpstr>
      <vt:lpstr>budg. analytique année 1</vt:lpstr>
      <vt:lpstr>budg analytique année 5</vt:lpstr>
      <vt:lpstr>budg analytique année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Pett</dc:creator>
  <cp:lastModifiedBy>Frédéric Petit</cp:lastModifiedBy>
  <dcterms:created xsi:type="dcterms:W3CDTF">2020-05-30T15:25:22Z</dcterms:created>
  <dcterms:modified xsi:type="dcterms:W3CDTF">2026-06-30T11:33:23Z</dcterms:modified>
</cp:coreProperties>
</file>